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6525" windowWidth="15420" windowHeight="1710"/>
  </bookViews>
  <sheets>
    <sheet name="check" sheetId="6" r:id="rId1"/>
    <sheet name="notes" sheetId="7" r:id="rId2"/>
    <sheet name="costs" sheetId="1" r:id="rId3"/>
    <sheet name="benefits &amp; sum" sheetId="2" r:id="rId4"/>
    <sheet name="travelDetail" sheetId="12" r:id="rId5"/>
    <sheet name="waterDetail" sheetId="13" r:id="rId6"/>
  </sheets>
  <calcPr calcId="125725"/>
</workbook>
</file>

<file path=xl/calcChain.xml><?xml version="1.0" encoding="utf-8"?>
<calcChain xmlns="http://schemas.openxmlformats.org/spreadsheetml/2006/main">
  <c r="C3" i="2"/>
  <c r="C4"/>
  <c r="C5"/>
  <c r="C6"/>
  <c r="C7"/>
  <c r="C8"/>
  <c r="C9"/>
  <c r="C10"/>
  <c r="C11"/>
  <c r="C12"/>
  <c r="C13"/>
  <c r="C14"/>
  <c r="C15"/>
  <c r="C16"/>
  <c r="C17"/>
  <c r="C18"/>
  <c r="C19"/>
  <c r="C20"/>
  <c r="C21"/>
  <c r="C2"/>
  <c r="D3" i="13"/>
  <c r="D4"/>
  <c r="D5"/>
  <c r="D6"/>
  <c r="D7"/>
  <c r="D8"/>
  <c r="D9"/>
  <c r="D10"/>
  <c r="D11"/>
  <c r="D12"/>
  <c r="D13"/>
  <c r="D14"/>
  <c r="D15"/>
  <c r="D16"/>
  <c r="D17"/>
  <c r="D18"/>
  <c r="D19"/>
  <c r="D20"/>
  <c r="D21"/>
  <c r="D2"/>
  <c r="D21" i="1"/>
  <c r="B21"/>
  <c r="D2"/>
  <c r="B4" i="2"/>
  <c r="B5"/>
  <c r="B6"/>
  <c r="B7"/>
  <c r="B8"/>
  <c r="B9"/>
  <c r="B10"/>
  <c r="B11"/>
  <c r="B12"/>
  <c r="B13"/>
  <c r="B14"/>
  <c r="B15"/>
  <c r="B16"/>
  <c r="B17"/>
  <c r="B18"/>
  <c r="B19"/>
  <c r="B20"/>
  <c r="B21"/>
  <c r="B3"/>
  <c r="N2" i="12"/>
  <c r="G2"/>
  <c r="K2"/>
  <c r="J2"/>
  <c r="H2"/>
  <c r="D2"/>
  <c r="L2"/>
  <c r="F3" i="1"/>
  <c r="F4"/>
  <c r="F5"/>
  <c r="F6"/>
  <c r="F7"/>
  <c r="F9"/>
  <c r="F10"/>
  <c r="F11"/>
  <c r="F12"/>
  <c r="F13"/>
  <c r="F14"/>
  <c r="F16"/>
  <c r="F17"/>
  <c r="F18"/>
  <c r="F19"/>
  <c r="F20"/>
  <c r="F15"/>
  <c r="F8"/>
  <c r="F21"/>
  <c r="F2"/>
  <c r="J1"/>
  <c r="G15"/>
  <c r="G18"/>
  <c r="G14"/>
  <c r="G10"/>
  <c r="G4"/>
  <c r="G17"/>
  <c r="G11"/>
  <c r="G7"/>
  <c r="G3"/>
  <c r="G8"/>
  <c r="G20"/>
  <c r="G16"/>
  <c r="G12"/>
  <c r="G6"/>
  <c r="G19"/>
  <c r="G13"/>
  <c r="G9"/>
  <c r="G5"/>
  <c r="G21"/>
  <c r="G2"/>
  <c r="B2" i="2"/>
  <c r="G23" i="1"/>
  <c r="F24" i="2"/>
  <c r="E2"/>
  <c r="F2"/>
  <c r="E5"/>
  <c r="F5"/>
  <c r="E6"/>
  <c r="F6"/>
  <c r="E4"/>
  <c r="F4"/>
  <c r="E3"/>
  <c r="F3"/>
  <c r="E7"/>
  <c r="F7"/>
  <c r="E8"/>
  <c r="F8"/>
  <c r="E9"/>
  <c r="F9"/>
  <c r="E10"/>
  <c r="F10"/>
  <c r="E11"/>
  <c r="F11"/>
  <c r="E12"/>
  <c r="F12"/>
  <c r="E13"/>
  <c r="F13"/>
  <c r="E14"/>
  <c r="F14"/>
  <c r="E15"/>
  <c r="F15"/>
  <c r="E16"/>
  <c r="F16"/>
  <c r="E17"/>
  <c r="F17"/>
  <c r="E18"/>
  <c r="F18"/>
  <c r="E19"/>
  <c r="F19"/>
  <c r="E20"/>
  <c r="F20"/>
  <c r="E21"/>
  <c r="F21"/>
  <c r="F23"/>
  <c r="F25"/>
</calcChain>
</file>

<file path=xl/sharedStrings.xml><?xml version="1.0" encoding="utf-8"?>
<sst xmlns="http://schemas.openxmlformats.org/spreadsheetml/2006/main" count="55" uniqueCount="45">
  <si>
    <t>CS Benefit $</t>
  </si>
  <si>
    <t>Total (Present Value)</t>
  </si>
  <si>
    <t>Discount Rate</t>
  </si>
  <si>
    <t>2012 - 2031</t>
  </si>
  <si>
    <t>Total (Constant 2010$)</t>
  </si>
  <si>
    <t>Discount Rate (copied from &lt;benefits&gt;)</t>
  </si>
  <si>
    <t>Benefit : Cost Ratio</t>
  </si>
  <si>
    <t>Initial (construction/design/land acquisition)</t>
  </si>
  <si>
    <t>Annual (operating and maintenance)</t>
  </si>
  <si>
    <t>Salvage Value</t>
  </si>
  <si>
    <t>Safety</t>
  </si>
  <si>
    <t>ü</t>
  </si>
  <si>
    <t>-</t>
  </si>
  <si>
    <t>Auto VMT (operating costs + environmental benefits)</t>
  </si>
  <si>
    <t>Auto VHT (value of time + environmental benefits)</t>
  </si>
  <si>
    <t>Bicycle/Pedestrian Health</t>
  </si>
  <si>
    <t>Transit VHT</t>
  </si>
  <si>
    <t>Transit VMT</t>
  </si>
  <si>
    <t>Benefit-Cost Item</t>
  </si>
  <si>
    <t>Legend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</si>
  <si>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>: currently reflected in BCA</t>
    </r>
  </si>
  <si>
    <t>? : not yet shown in BCA… estimate possible?</t>
  </si>
  <si>
    <t>- : not applicable</t>
  </si>
  <si>
    <t>BL</t>
  </si>
  <si>
    <t>CS</t>
  </si>
  <si>
    <t>Benefits: 2012 - 2031</t>
  </si>
  <si>
    <t>Costs: 2012 - 2031</t>
  </si>
  <si>
    <t>^^^ INCORPORATES RESIDUAL VALUE (IF ANY) BEYOND YEAR 20 ^^^</t>
  </si>
  <si>
    <t>Transit Vehicle Operating Cost ($/mi) [TREDIS]</t>
  </si>
  <si>
    <t>Transit Vehicle Environmental Cost ($/mi) [TREDIS, Free Flow]</t>
  </si>
  <si>
    <t>Annual Commute Trips</t>
  </si>
  <si>
    <t>Crew Cost Factor ($/hr) [TREDIS * 75%]</t>
  </si>
  <si>
    <t>Annual School Bus Time Savings with Complete Street (hrs)</t>
  </si>
  <si>
    <t>Annual School Bus Cost Savings with Complete Street</t>
  </si>
  <si>
    <t>Annual School Bus VMT Savings with Complete Street</t>
  </si>
  <si>
    <t>Commute Length for Visually / Physically Disabled Non-Driver Residents (ft)</t>
  </si>
  <si>
    <t>Checklist of TIGER II Project Components &amp; Benefit-Cost Analysis Categories: Cosmos</t>
  </si>
  <si>
    <t>Water System Reliability</t>
  </si>
  <si>
    <t>Annual Savings from Elimination of Transit Trips for Disadvantaged Community with (ADA Compliant) Complete Street</t>
  </si>
  <si>
    <t>Commute Length for Visually / Physically Disabled Non-Driver Residents (mins)</t>
  </si>
  <si>
    <t>Travel</t>
  </si>
  <si>
    <t>Water System</t>
  </si>
  <si>
    <t>BL - Projected Annual Water System Line Breaks</t>
  </si>
  <si>
    <t>Cost to Repair per Break</t>
  </si>
  <si>
    <t>CS Benefit from Relocation of Water Lines &amp; Elimination of Road Work to Access for Repair</t>
  </si>
</sst>
</file>

<file path=xl/styles.xml><?xml version="1.0" encoding="utf-8"?>
<styleSheet xmlns="http://schemas.openxmlformats.org/spreadsheetml/2006/main">
  <numFmts count="6">
    <numFmt numFmtId="6" formatCode="&quot;$&quot;#,##0_);[Red]\(&quot;$&quot;#,##0\)"/>
    <numFmt numFmtId="164" formatCode="&quot;$&quot;#,##0"/>
    <numFmt numFmtId="165" formatCode="&quot;$&quot;#,##0.00"/>
    <numFmt numFmtId="166" formatCode="&quot;$&quot;#,##0.000"/>
    <numFmt numFmtId="167" formatCode="#,##0.0"/>
    <numFmt numFmtId="168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65" fontId="0" fillId="0" borderId="0" xfId="0" applyNumberFormat="1"/>
    <xf numFmtId="3" fontId="0" fillId="0" borderId="0" xfId="0" applyNumberFormat="1"/>
    <xf numFmtId="9" fontId="0" fillId="0" borderId="0" xfId="0" applyNumberFormat="1"/>
    <xf numFmtId="166" fontId="0" fillId="0" borderId="0" xfId="0" applyNumberFormat="1" applyAlignment="1">
      <alignment wrapText="1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Border="1"/>
    <xf numFmtId="0" fontId="1" fillId="0" borderId="0" xfId="0" applyFont="1"/>
    <xf numFmtId="0" fontId="4" fillId="0" borderId="0" xfId="0" applyFont="1"/>
    <xf numFmtId="0" fontId="0" fillId="0" borderId="1" xfId="0" applyBorder="1"/>
    <xf numFmtId="0" fontId="0" fillId="0" borderId="2" xfId="0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6" fontId="0" fillId="0" borderId="0" xfId="0" applyNumberFormat="1" applyAlignment="1">
      <alignment horizontal="right"/>
    </xf>
    <xf numFmtId="164" fontId="0" fillId="0" borderId="0" xfId="0" applyNumberFormat="1" applyAlignment="1">
      <alignment wrapText="1"/>
    </xf>
    <xf numFmtId="167" fontId="0" fillId="0" borderId="0" xfId="0" applyNumberFormat="1" applyAlignment="1">
      <alignment horizontal="right"/>
    </xf>
    <xf numFmtId="0" fontId="5" fillId="0" borderId="0" xfId="0" applyFont="1" applyAlignment="1"/>
    <xf numFmtId="0" fontId="0" fillId="0" borderId="0" xfId="0" applyBorder="1" applyAlignment="1">
      <alignment horizontal="center"/>
    </xf>
    <xf numFmtId="0" fontId="3" fillId="0" borderId="4" xfId="0" applyFont="1" applyBorder="1"/>
    <xf numFmtId="0" fontId="0" fillId="0" borderId="5" xfId="0" applyBorder="1"/>
    <xf numFmtId="0" fontId="0" fillId="0" borderId="6" xfId="0" quotePrefix="1" applyBorder="1"/>
    <xf numFmtId="165" fontId="0" fillId="0" borderId="0" xfId="0" applyNumberFormat="1" applyAlignment="1">
      <alignment wrapText="1"/>
    </xf>
    <xf numFmtId="3" fontId="0" fillId="0" borderId="0" xfId="0" applyNumberFormat="1" applyAlignment="1">
      <alignment wrapText="1"/>
    </xf>
    <xf numFmtId="164" fontId="0" fillId="0" borderId="0" xfId="0" applyNumberFormat="1" applyFill="1" applyAlignment="1">
      <alignment horizontal="right"/>
    </xf>
    <xf numFmtId="6" fontId="0" fillId="0" borderId="0" xfId="0" applyNumberFormat="1" applyFill="1" applyAlignment="1">
      <alignment horizontal="right"/>
    </xf>
    <xf numFmtId="168" fontId="0" fillId="0" borderId="3" xfId="0" applyNumberFormat="1" applyBorder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"/>
  <sheetViews>
    <sheetView tabSelected="1" zoomScaleNormal="100" workbookViewId="0">
      <selection activeCell="A2" sqref="A2"/>
    </sheetView>
  </sheetViews>
  <sheetFormatPr defaultRowHeight="15"/>
  <cols>
    <col min="1" max="1" width="49.140625" bestFit="1" customWidth="1"/>
    <col min="2" max="4" width="9.140625" style="12"/>
  </cols>
  <sheetData>
    <row r="1" spans="1:5" ht="18.75">
      <c r="A1" s="17" t="s">
        <v>36</v>
      </c>
    </row>
    <row r="3" spans="1:5">
      <c r="A3" s="14" t="s">
        <v>18</v>
      </c>
      <c r="B3" s="13"/>
      <c r="C3" s="13"/>
      <c r="D3" s="13"/>
      <c r="E3" s="13"/>
    </row>
    <row r="4" spans="1:5">
      <c r="A4" t="s">
        <v>7</v>
      </c>
      <c r="B4" s="11" t="s">
        <v>11</v>
      </c>
      <c r="C4" s="11"/>
      <c r="D4" s="11"/>
      <c r="E4" s="11"/>
    </row>
    <row r="5" spans="1:5">
      <c r="A5" t="s">
        <v>8</v>
      </c>
      <c r="B5" s="11" t="s">
        <v>11</v>
      </c>
      <c r="C5" s="11"/>
      <c r="D5" s="11"/>
      <c r="E5" s="11"/>
    </row>
    <row r="6" spans="1:5">
      <c r="A6" t="s">
        <v>9</v>
      </c>
      <c r="B6" s="11" t="s">
        <v>11</v>
      </c>
      <c r="C6" s="11"/>
      <c r="D6" s="11"/>
      <c r="E6" s="11"/>
    </row>
    <row r="8" spans="1:5">
      <c r="A8" t="s">
        <v>10</v>
      </c>
      <c r="B8" s="12" t="s">
        <v>12</v>
      </c>
      <c r="C8" s="11"/>
      <c r="E8" s="12"/>
    </row>
    <row r="9" spans="1:5">
      <c r="A9" t="s">
        <v>14</v>
      </c>
      <c r="B9" s="12" t="s">
        <v>12</v>
      </c>
      <c r="C9" s="11"/>
      <c r="E9" s="11"/>
    </row>
    <row r="10" spans="1:5">
      <c r="A10" t="s">
        <v>13</v>
      </c>
      <c r="B10" s="12" t="s">
        <v>12</v>
      </c>
      <c r="C10" s="11"/>
      <c r="E10" s="11"/>
    </row>
    <row r="11" spans="1:5">
      <c r="A11" t="s">
        <v>16</v>
      </c>
      <c r="B11" s="11" t="s">
        <v>11</v>
      </c>
      <c r="C11" s="11"/>
      <c r="D11" s="11"/>
      <c r="E11" s="12"/>
    </row>
    <row r="12" spans="1:5">
      <c r="A12" t="s">
        <v>17</v>
      </c>
      <c r="B12" s="11" t="s">
        <v>11</v>
      </c>
      <c r="C12" s="11"/>
      <c r="D12" s="11"/>
      <c r="E12" s="12"/>
    </row>
    <row r="13" spans="1:5">
      <c r="A13" t="s">
        <v>15</v>
      </c>
      <c r="B13" s="12" t="s">
        <v>12</v>
      </c>
      <c r="C13" s="11"/>
      <c r="E13" s="11"/>
    </row>
    <row r="14" spans="1:5">
      <c r="A14" t="s">
        <v>37</v>
      </c>
      <c r="B14" s="11" t="s">
        <v>11</v>
      </c>
      <c r="E14" s="12"/>
    </row>
    <row r="15" spans="1:5">
      <c r="A15" s="15"/>
      <c r="B15" s="27"/>
      <c r="C15" s="27"/>
    </row>
    <row r="16" spans="1:5">
      <c r="A16" s="28" t="s">
        <v>19</v>
      </c>
      <c r="B16" s="15"/>
      <c r="C16" s="15"/>
      <c r="D16" s="15"/>
      <c r="E16" s="15"/>
    </row>
    <row r="17" spans="1:5">
      <c r="A17" s="29" t="s">
        <v>20</v>
      </c>
      <c r="B17" s="15"/>
      <c r="C17" s="15"/>
      <c r="D17" s="15"/>
      <c r="E17" s="15"/>
    </row>
    <row r="18" spans="1:5">
      <c r="A18" s="29" t="s">
        <v>21</v>
      </c>
      <c r="B18" s="15"/>
      <c r="C18" s="15"/>
      <c r="D18" s="15"/>
      <c r="E18" s="15"/>
    </row>
    <row r="19" spans="1:5">
      <c r="A19" s="30" t="s">
        <v>22</v>
      </c>
      <c r="B19" s="15"/>
      <c r="C19" s="15"/>
      <c r="D19" s="15"/>
      <c r="E19" s="15"/>
    </row>
    <row r="20" spans="1:5">
      <c r="A20" s="15"/>
      <c r="B20" s="27"/>
      <c r="C20" s="27"/>
    </row>
    <row r="21" spans="1:5">
      <c r="A21" s="15"/>
      <c r="B21" s="27"/>
      <c r="C21" s="27"/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zoomScaleNormal="100" workbookViewId="0"/>
  </sheetViews>
  <sheetFormatPr defaultRowHeight="15"/>
  <cols>
    <col min="1" max="1" width="100.7109375" customWidth="1"/>
  </cols>
  <sheetData/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3"/>
  <sheetViews>
    <sheetView zoomScaleNormal="100" workbookViewId="0"/>
  </sheetViews>
  <sheetFormatPr defaultRowHeight="15"/>
  <cols>
    <col min="2" max="2" width="20.7109375" style="2" customWidth="1"/>
    <col min="3" max="3" width="12.7109375" style="2" customWidth="1"/>
    <col min="4" max="4" width="20.7109375" style="2" customWidth="1"/>
    <col min="5" max="5" width="11.5703125" bestFit="1" customWidth="1"/>
    <col min="6" max="7" width="12.5703125" bestFit="1" customWidth="1"/>
    <col min="9" max="9" width="14.7109375" customWidth="1"/>
  </cols>
  <sheetData>
    <row r="1" spans="1:10" ht="45">
      <c r="B1" s="22" t="s">
        <v>23</v>
      </c>
      <c r="C1" s="22"/>
      <c r="D1" s="22" t="s">
        <v>24</v>
      </c>
      <c r="E1" s="22"/>
      <c r="F1" s="21" t="s">
        <v>4</v>
      </c>
      <c r="G1" s="21" t="s">
        <v>1</v>
      </c>
      <c r="I1" s="5" t="s">
        <v>5</v>
      </c>
      <c r="J1" s="8">
        <f>'benefits &amp; sum'!$I$1</f>
        <v>0.03</v>
      </c>
    </row>
    <row r="2" spans="1:10">
      <c r="A2">
        <v>2012</v>
      </c>
      <c r="B2" s="3">
        <v>6400</v>
      </c>
      <c r="C2" s="23"/>
      <c r="D2" s="23">
        <f>4000000+280000+4800</f>
        <v>4284800</v>
      </c>
      <c r="E2" s="1"/>
      <c r="F2" s="23">
        <f t="shared" ref="F2:F21" si="0">SUM(D2:E2)-SUM(B2:C2)</f>
        <v>4278400</v>
      </c>
      <c r="G2" s="23">
        <f t="shared" ref="G2:G21" si="1">F2/((1+$J$1)^(A2-2010))</f>
        <v>4032802.3376378547</v>
      </c>
    </row>
    <row r="3" spans="1:10">
      <c r="A3">
        <v>2013</v>
      </c>
      <c r="B3" s="3">
        <v>6400</v>
      </c>
      <c r="C3" s="23"/>
      <c r="D3" s="23">
        <v>4800</v>
      </c>
      <c r="E3" s="3"/>
      <c r="F3" s="23">
        <f t="shared" si="0"/>
        <v>-1600</v>
      </c>
      <c r="G3" s="23">
        <f t="shared" si="1"/>
        <v>-1464.2266549650553</v>
      </c>
    </row>
    <row r="4" spans="1:10">
      <c r="A4">
        <v>2014</v>
      </c>
      <c r="B4" s="3">
        <v>6400</v>
      </c>
      <c r="C4" s="23"/>
      <c r="D4" s="23">
        <v>4800</v>
      </c>
      <c r="E4" s="3"/>
      <c r="F4" s="23">
        <f t="shared" si="0"/>
        <v>-1600</v>
      </c>
      <c r="G4" s="23">
        <f t="shared" si="1"/>
        <v>-1421.5792766651023</v>
      </c>
    </row>
    <row r="5" spans="1:10">
      <c r="A5">
        <v>2015</v>
      </c>
      <c r="B5" s="3">
        <v>6400</v>
      </c>
      <c r="C5" s="23"/>
      <c r="D5" s="23">
        <v>4800</v>
      </c>
      <c r="E5" s="3"/>
      <c r="F5" s="23">
        <f t="shared" si="0"/>
        <v>-1600</v>
      </c>
      <c r="G5" s="23">
        <f t="shared" si="1"/>
        <v>-1380.1740550146626</v>
      </c>
    </row>
    <row r="6" spans="1:10">
      <c r="A6">
        <v>2016</v>
      </c>
      <c r="B6" s="3">
        <v>6400</v>
      </c>
      <c r="C6" s="23"/>
      <c r="D6" s="23">
        <v>4800</v>
      </c>
      <c r="E6" s="3"/>
      <c r="F6" s="23">
        <f t="shared" si="0"/>
        <v>-1600</v>
      </c>
      <c r="G6" s="23">
        <f t="shared" si="1"/>
        <v>-1339.9748106938471</v>
      </c>
    </row>
    <row r="7" spans="1:10">
      <c r="A7">
        <v>2017</v>
      </c>
      <c r="B7" s="3">
        <v>6400</v>
      </c>
      <c r="C7" s="23"/>
      <c r="D7" s="23">
        <v>4800</v>
      </c>
      <c r="E7" s="3"/>
      <c r="F7" s="23">
        <f t="shared" si="0"/>
        <v>-1600</v>
      </c>
      <c r="G7" s="23">
        <f t="shared" si="1"/>
        <v>-1300.9464181493661</v>
      </c>
    </row>
    <row r="8" spans="1:10">
      <c r="A8">
        <v>2018</v>
      </c>
      <c r="B8" s="3">
        <v>6400</v>
      </c>
      <c r="C8" s="23"/>
      <c r="D8" s="23">
        <v>4800</v>
      </c>
      <c r="E8" s="3"/>
      <c r="F8" s="23">
        <f t="shared" si="0"/>
        <v>-1600</v>
      </c>
      <c r="G8" s="23">
        <f t="shared" si="1"/>
        <v>-1263.0547749022971</v>
      </c>
    </row>
    <row r="9" spans="1:10">
      <c r="A9">
        <v>2019</v>
      </c>
      <c r="B9" s="3">
        <v>6400</v>
      </c>
      <c r="C9" s="23"/>
      <c r="D9" s="23">
        <v>4800</v>
      </c>
      <c r="E9" s="3"/>
      <c r="F9" s="23">
        <f t="shared" si="0"/>
        <v>-1600</v>
      </c>
      <c r="G9" s="23">
        <f t="shared" si="1"/>
        <v>-1226.2667717498032</v>
      </c>
    </row>
    <row r="10" spans="1:10">
      <c r="A10">
        <v>2020</v>
      </c>
      <c r="B10" s="3">
        <v>6400</v>
      </c>
      <c r="C10" s="23"/>
      <c r="D10" s="23">
        <v>4800</v>
      </c>
      <c r="E10" s="3"/>
      <c r="F10" s="23">
        <f t="shared" si="0"/>
        <v>-1600</v>
      </c>
      <c r="G10" s="23">
        <f t="shared" si="1"/>
        <v>-1190.5502638347602</v>
      </c>
    </row>
    <row r="11" spans="1:10">
      <c r="A11">
        <v>2021</v>
      </c>
      <c r="B11" s="3">
        <v>6400</v>
      </c>
      <c r="C11" s="23"/>
      <c r="D11" s="23">
        <v>4800</v>
      </c>
      <c r="E11" s="3"/>
      <c r="F11" s="23">
        <f t="shared" si="0"/>
        <v>-1600</v>
      </c>
      <c r="G11" s="23">
        <f t="shared" si="1"/>
        <v>-1155.8740425580197</v>
      </c>
    </row>
    <row r="12" spans="1:10">
      <c r="A12">
        <v>2022</v>
      </c>
      <c r="B12" s="3">
        <v>6400</v>
      </c>
      <c r="C12" s="23"/>
      <c r="D12" s="23">
        <v>4800</v>
      </c>
      <c r="E12" s="3"/>
      <c r="F12" s="23">
        <f t="shared" si="0"/>
        <v>-1600</v>
      </c>
      <c r="G12" s="23">
        <f t="shared" si="1"/>
        <v>-1122.2078083087572</v>
      </c>
    </row>
    <row r="13" spans="1:10">
      <c r="A13">
        <v>2023</v>
      </c>
      <c r="B13" s="3">
        <v>6400</v>
      </c>
      <c r="C13" s="23"/>
      <c r="D13" s="23">
        <v>4800</v>
      </c>
      <c r="E13" s="3"/>
      <c r="F13" s="23">
        <f t="shared" si="0"/>
        <v>-1600</v>
      </c>
      <c r="G13" s="23">
        <f t="shared" si="1"/>
        <v>-1089.5221439890847</v>
      </c>
    </row>
    <row r="14" spans="1:10">
      <c r="A14">
        <v>2024</v>
      </c>
      <c r="B14" s="3">
        <v>6400</v>
      </c>
      <c r="C14" s="23"/>
      <c r="D14" s="23">
        <v>4800</v>
      </c>
      <c r="E14" s="3"/>
      <c r="F14" s="23">
        <f t="shared" si="0"/>
        <v>-1600</v>
      </c>
      <c r="G14" s="23">
        <f t="shared" si="1"/>
        <v>-1057.7884893097907</v>
      </c>
    </row>
    <row r="15" spans="1:10">
      <c r="A15">
        <v>2025</v>
      </c>
      <c r="B15" s="3">
        <v>6400</v>
      </c>
      <c r="C15" s="23"/>
      <c r="D15" s="23">
        <v>4800</v>
      </c>
      <c r="E15" s="3"/>
      <c r="F15" s="23">
        <f t="shared" si="0"/>
        <v>-1600</v>
      </c>
      <c r="G15" s="23">
        <f t="shared" si="1"/>
        <v>-1026.9791158347482</v>
      </c>
    </row>
    <row r="16" spans="1:10">
      <c r="A16">
        <v>2026</v>
      </c>
      <c r="B16" s="3">
        <v>6400</v>
      </c>
      <c r="C16" s="23"/>
      <c r="D16" s="23">
        <v>4800</v>
      </c>
      <c r="E16" s="3"/>
      <c r="F16" s="23">
        <f t="shared" si="0"/>
        <v>-1600</v>
      </c>
      <c r="G16" s="23">
        <f t="shared" si="1"/>
        <v>-997.06710275218302</v>
      </c>
    </row>
    <row r="17" spans="1:7">
      <c r="A17">
        <v>2027</v>
      </c>
      <c r="B17" s="3">
        <v>6400</v>
      </c>
      <c r="C17" s="23"/>
      <c r="D17" s="23">
        <v>4800</v>
      </c>
      <c r="E17" s="3"/>
      <c r="F17" s="23">
        <f t="shared" si="0"/>
        <v>-1600</v>
      </c>
      <c r="G17" s="23">
        <f t="shared" si="1"/>
        <v>-968.02631335163392</v>
      </c>
    </row>
    <row r="18" spans="1:7">
      <c r="A18">
        <v>2028</v>
      </c>
      <c r="B18" s="3">
        <v>6400</v>
      </c>
      <c r="C18" s="23"/>
      <c r="D18" s="23">
        <v>4800</v>
      </c>
      <c r="E18" s="3"/>
      <c r="F18" s="23">
        <f t="shared" si="0"/>
        <v>-1600</v>
      </c>
      <c r="G18" s="23">
        <f t="shared" si="1"/>
        <v>-939.83137218605236</v>
      </c>
    </row>
    <row r="19" spans="1:7">
      <c r="A19">
        <v>2029</v>
      </c>
      <c r="B19" s="3">
        <v>6400</v>
      </c>
      <c r="C19" s="23"/>
      <c r="D19" s="23">
        <v>4800</v>
      </c>
      <c r="E19" s="3"/>
      <c r="F19" s="23">
        <f t="shared" si="0"/>
        <v>-1600</v>
      </c>
      <c r="G19" s="23">
        <f t="shared" si="1"/>
        <v>-912.45764289908004</v>
      </c>
    </row>
    <row r="20" spans="1:7">
      <c r="A20">
        <v>2030</v>
      </c>
      <c r="B20" s="3">
        <v>6400</v>
      </c>
      <c r="C20" s="23"/>
      <c r="D20" s="23">
        <v>4800</v>
      </c>
      <c r="E20" s="3"/>
      <c r="F20" s="23">
        <f t="shared" si="0"/>
        <v>-1600</v>
      </c>
      <c r="G20" s="23">
        <f t="shared" si="1"/>
        <v>-885.881206698136</v>
      </c>
    </row>
    <row r="21" spans="1:7">
      <c r="A21">
        <v>2031</v>
      </c>
      <c r="B21" s="33">
        <f>4000000+280000+1100000+6400</f>
        <v>5386400</v>
      </c>
      <c r="C21" s="34"/>
      <c r="D21" s="34">
        <f>4800-945000</f>
        <v>-940200</v>
      </c>
      <c r="E21" s="23"/>
      <c r="F21" s="23">
        <f t="shared" si="0"/>
        <v>-6326600</v>
      </c>
      <c r="G21" s="23">
        <f t="shared" si="1"/>
        <v>-3400859.248966279</v>
      </c>
    </row>
    <row r="22" spans="1:7">
      <c r="B22" s="36" t="s">
        <v>27</v>
      </c>
      <c r="C22" s="36"/>
      <c r="D22" s="36"/>
      <c r="E22" s="26"/>
    </row>
    <row r="23" spans="1:7">
      <c r="B23" t="s">
        <v>3</v>
      </c>
      <c r="G23" s="23">
        <f>SUM(G2:G22)</f>
        <v>611200.6804077141</v>
      </c>
    </row>
  </sheetData>
  <mergeCells count="1">
    <mergeCell ref="B22:D22"/>
  </mergeCells>
  <pageMargins left="0.7" right="0.7" top="0.75" bottom="0.75" header="0.3" footer="0.3"/>
  <pageSetup scale="72" orientation="landscape" r:id="rId1"/>
  <headerFooter>
    <oddFooter>&amp;L&amp;A&amp;CPage &amp;P of &amp;N&amp;R&amp;D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zoomScaleNormal="100" workbookViewId="0"/>
  </sheetViews>
  <sheetFormatPr defaultRowHeight="15"/>
  <cols>
    <col min="2" max="3" width="10.7109375" style="2" customWidth="1"/>
    <col min="5" max="5" width="10.7109375" customWidth="1"/>
    <col min="6" max="6" width="12.5703125" bestFit="1" customWidth="1"/>
  </cols>
  <sheetData>
    <row r="1" spans="1:9" ht="45">
      <c r="B1" s="22" t="s">
        <v>40</v>
      </c>
      <c r="C1" s="21" t="s">
        <v>41</v>
      </c>
      <c r="D1" s="16"/>
      <c r="E1" s="21" t="s">
        <v>4</v>
      </c>
      <c r="F1" s="21" t="s">
        <v>1</v>
      </c>
      <c r="H1" s="5" t="s">
        <v>2</v>
      </c>
      <c r="I1" s="8">
        <v>0.03</v>
      </c>
    </row>
    <row r="2" spans="1:9">
      <c r="A2">
        <v>2012</v>
      </c>
      <c r="B2" s="1">
        <f>travelDetail!N2</f>
        <v>18586.614772727273</v>
      </c>
      <c r="C2" s="1">
        <f>waterDetail!D2</f>
        <v>56250</v>
      </c>
      <c r="D2" s="1"/>
      <c r="E2" s="1">
        <f t="shared" ref="E2:E21" si="0">SUM(B2:D2)</f>
        <v>74836.614772727276</v>
      </c>
      <c r="F2" s="1">
        <f t="shared" ref="F2:F21" si="1">E2/((1+$I$1)^(A2-2010))</f>
        <v>70540.686938191415</v>
      </c>
    </row>
    <row r="3" spans="1:9">
      <c r="A3">
        <v>2013</v>
      </c>
      <c r="B3" s="1">
        <f>travelDetail!$N$2</f>
        <v>18586.614772727273</v>
      </c>
      <c r="C3" s="1">
        <f>waterDetail!D3</f>
        <v>56250</v>
      </c>
      <c r="D3" s="1"/>
      <c r="E3" s="1">
        <f t="shared" si="0"/>
        <v>74836.614772727276</v>
      </c>
      <c r="F3" s="1">
        <f t="shared" si="1"/>
        <v>68486.103823486817</v>
      </c>
    </row>
    <row r="4" spans="1:9">
      <c r="A4">
        <v>2014</v>
      </c>
      <c r="B4" s="1">
        <f>travelDetail!$N$2</f>
        <v>18586.614772727273</v>
      </c>
      <c r="C4" s="1">
        <f>waterDetail!D4</f>
        <v>56250</v>
      </c>
      <c r="D4" s="1"/>
      <c r="E4" s="1">
        <f t="shared" si="0"/>
        <v>74836.614772727276</v>
      </c>
      <c r="F4" s="1">
        <f t="shared" si="1"/>
        <v>66491.362935424098</v>
      </c>
    </row>
    <row r="5" spans="1:9">
      <c r="A5">
        <v>2015</v>
      </c>
      <c r="B5" s="1">
        <f>travelDetail!$N$2</f>
        <v>18586.614772727273</v>
      </c>
      <c r="C5" s="1">
        <f>waterDetail!D5</f>
        <v>56250</v>
      </c>
      <c r="D5" s="1"/>
      <c r="E5" s="1">
        <f t="shared" si="0"/>
        <v>74836.614772727276</v>
      </c>
      <c r="F5" s="1">
        <f t="shared" si="1"/>
        <v>64554.721296528252</v>
      </c>
    </row>
    <row r="6" spans="1:9">
      <c r="A6">
        <v>2016</v>
      </c>
      <c r="B6" s="1">
        <f>travelDetail!$N$2</f>
        <v>18586.614772727273</v>
      </c>
      <c r="C6" s="1">
        <f>waterDetail!D6</f>
        <v>56250</v>
      </c>
      <c r="D6" s="1"/>
      <c r="E6" s="1">
        <f t="shared" si="0"/>
        <v>74836.614772727276</v>
      </c>
      <c r="F6" s="1">
        <f t="shared" si="1"/>
        <v>62674.486695658496</v>
      </c>
    </row>
    <row r="7" spans="1:9">
      <c r="A7">
        <v>2017</v>
      </c>
      <c r="B7" s="1">
        <f>travelDetail!$N$2</f>
        <v>18586.614772727273</v>
      </c>
      <c r="C7" s="1">
        <f>waterDetail!D7</f>
        <v>56250</v>
      </c>
      <c r="D7" s="1"/>
      <c r="E7" s="1">
        <f t="shared" si="0"/>
        <v>74836.614772727276</v>
      </c>
      <c r="F7" s="1">
        <f t="shared" si="1"/>
        <v>60849.016209377172</v>
      </c>
    </row>
    <row r="8" spans="1:9">
      <c r="A8">
        <v>2018</v>
      </c>
      <c r="B8" s="1">
        <f>travelDetail!$N$2</f>
        <v>18586.614772727273</v>
      </c>
      <c r="C8" s="1">
        <f>waterDetail!D8</f>
        <v>56250</v>
      </c>
      <c r="D8" s="1"/>
      <c r="E8" s="1">
        <f t="shared" si="0"/>
        <v>74836.614772727276</v>
      </c>
      <c r="F8" s="1">
        <f t="shared" si="1"/>
        <v>59076.714766385616</v>
      </c>
    </row>
    <row r="9" spans="1:9">
      <c r="A9">
        <v>2019</v>
      </c>
      <c r="B9" s="1">
        <f>travelDetail!$N$2</f>
        <v>18586.614772727273</v>
      </c>
      <c r="C9" s="1">
        <f>waterDetail!D9</f>
        <v>56250</v>
      </c>
      <c r="D9" s="1"/>
      <c r="E9" s="1">
        <f t="shared" si="0"/>
        <v>74836.614772727276</v>
      </c>
      <c r="F9" s="1">
        <f t="shared" si="1"/>
        <v>57356.033753772441</v>
      </c>
    </row>
    <row r="10" spans="1:9">
      <c r="A10">
        <v>2020</v>
      </c>
      <c r="B10" s="1">
        <f>travelDetail!$N$2</f>
        <v>18586.614772727273</v>
      </c>
      <c r="C10" s="1">
        <f>waterDetail!D10</f>
        <v>56250</v>
      </c>
      <c r="D10" s="1"/>
      <c r="E10" s="1">
        <f t="shared" si="0"/>
        <v>74836.614772727276</v>
      </c>
      <c r="F10" s="1">
        <f t="shared" si="1"/>
        <v>55685.46966385674</v>
      </c>
    </row>
    <row r="11" spans="1:9">
      <c r="A11">
        <v>2021</v>
      </c>
      <c r="B11" s="1">
        <f>travelDetail!$N$2</f>
        <v>18586.614772727273</v>
      </c>
      <c r="C11" s="1">
        <f>waterDetail!D11</f>
        <v>56250</v>
      </c>
      <c r="D11" s="1"/>
      <c r="E11" s="1">
        <f t="shared" si="0"/>
        <v>74836.614772727276</v>
      </c>
      <c r="F11" s="1">
        <f t="shared" si="1"/>
        <v>54063.562780443433</v>
      </c>
    </row>
    <row r="12" spans="1:9">
      <c r="A12">
        <v>2022</v>
      </c>
      <c r="B12" s="1">
        <f>travelDetail!$N$2</f>
        <v>18586.614772727273</v>
      </c>
      <c r="C12" s="1">
        <f>waterDetail!D12</f>
        <v>75000</v>
      </c>
      <c r="D12" s="1"/>
      <c r="E12" s="1">
        <f t="shared" si="0"/>
        <v>93586.614772727276</v>
      </c>
      <c r="F12" s="1">
        <f t="shared" si="1"/>
        <v>65639.768656961387</v>
      </c>
    </row>
    <row r="13" spans="1:9">
      <c r="A13">
        <v>2023</v>
      </c>
      <c r="B13" s="1">
        <f>travelDetail!$N$2</f>
        <v>18586.614772727273</v>
      </c>
      <c r="C13" s="1">
        <f>waterDetail!D13</f>
        <v>75000</v>
      </c>
      <c r="D13" s="1"/>
      <c r="E13" s="1">
        <f t="shared" si="0"/>
        <v>93586.614772727276</v>
      </c>
      <c r="F13" s="1">
        <f t="shared" si="1"/>
        <v>63727.930734913978</v>
      </c>
    </row>
    <row r="14" spans="1:9">
      <c r="A14">
        <v>2024</v>
      </c>
      <c r="B14" s="1">
        <f>travelDetail!$N$2</f>
        <v>18586.614772727273</v>
      </c>
      <c r="C14" s="1">
        <f>waterDetail!D14</f>
        <v>75000</v>
      </c>
      <c r="D14" s="1"/>
      <c r="E14" s="1">
        <f t="shared" si="0"/>
        <v>93586.614772727276</v>
      </c>
      <c r="F14" s="1">
        <f t="shared" si="1"/>
        <v>61871.777412537835</v>
      </c>
    </row>
    <row r="15" spans="1:9">
      <c r="A15">
        <v>2025</v>
      </c>
      <c r="B15" s="1">
        <f>travelDetail!$N$2</f>
        <v>18586.614772727273</v>
      </c>
      <c r="C15" s="1">
        <f>waterDetail!D15</f>
        <v>75000</v>
      </c>
      <c r="D15" s="1"/>
      <c r="E15" s="1">
        <f t="shared" si="0"/>
        <v>93586.614772727276</v>
      </c>
      <c r="F15" s="1">
        <f t="shared" si="1"/>
        <v>60069.68680828916</v>
      </c>
    </row>
    <row r="16" spans="1:9">
      <c r="A16">
        <v>2026</v>
      </c>
      <c r="B16" s="1">
        <f>travelDetail!$N$2</f>
        <v>18586.614772727273</v>
      </c>
      <c r="C16" s="1">
        <f>waterDetail!D16</f>
        <v>75000</v>
      </c>
      <c r="D16" s="1"/>
      <c r="E16" s="1">
        <f t="shared" si="0"/>
        <v>93586.614772727276</v>
      </c>
      <c r="F16" s="1">
        <f t="shared" si="1"/>
        <v>58320.084279892399</v>
      </c>
    </row>
    <row r="17" spans="1:6">
      <c r="A17">
        <v>2027</v>
      </c>
      <c r="B17" s="1">
        <f>travelDetail!$N$2</f>
        <v>18586.614772727273</v>
      </c>
      <c r="C17" s="1">
        <f>waterDetail!D17</f>
        <v>75000</v>
      </c>
      <c r="D17" s="1"/>
      <c r="E17" s="1">
        <f t="shared" si="0"/>
        <v>93586.614772727276</v>
      </c>
      <c r="F17" s="1">
        <f t="shared" si="1"/>
        <v>56621.441048439221</v>
      </c>
    </row>
    <row r="18" spans="1:6">
      <c r="A18">
        <v>2028</v>
      </c>
      <c r="B18" s="1">
        <f>travelDetail!$N$2</f>
        <v>18586.614772727273</v>
      </c>
      <c r="C18" s="1">
        <f>waterDetail!D18</f>
        <v>75000</v>
      </c>
      <c r="D18" s="1"/>
      <c r="E18" s="1">
        <f t="shared" si="0"/>
        <v>93586.614772727276</v>
      </c>
      <c r="F18" s="1">
        <f t="shared" si="1"/>
        <v>54972.272862562349</v>
      </c>
    </row>
    <row r="19" spans="1:6">
      <c r="A19">
        <v>2029</v>
      </c>
      <c r="B19" s="1">
        <f>travelDetail!$N$2</f>
        <v>18586.614772727273</v>
      </c>
      <c r="C19" s="1">
        <f>waterDetail!D19</f>
        <v>75000</v>
      </c>
      <c r="D19" s="1"/>
      <c r="E19" s="1">
        <f t="shared" si="0"/>
        <v>93586.614772727276</v>
      </c>
      <c r="F19" s="1">
        <f t="shared" si="1"/>
        <v>53371.138701516844</v>
      </c>
    </row>
    <row r="20" spans="1:6">
      <c r="A20">
        <v>2030</v>
      </c>
      <c r="B20" s="1">
        <f>travelDetail!$N$2</f>
        <v>18586.614772727273</v>
      </c>
      <c r="C20" s="1">
        <f>waterDetail!D20</f>
        <v>75000</v>
      </c>
      <c r="D20" s="1"/>
      <c r="E20" s="1">
        <f t="shared" si="0"/>
        <v>93586.614772727276</v>
      </c>
      <c r="F20" s="1">
        <f t="shared" si="1"/>
        <v>51816.639516035772</v>
      </c>
    </row>
    <row r="21" spans="1:6">
      <c r="A21">
        <v>2031</v>
      </c>
      <c r="B21" s="1">
        <f>travelDetail!$N$2</f>
        <v>18586.614772727273</v>
      </c>
      <c r="C21" s="1">
        <f>waterDetail!D21</f>
        <v>75000</v>
      </c>
      <c r="D21" s="1"/>
      <c r="E21" s="1">
        <f t="shared" si="0"/>
        <v>93586.614772727276</v>
      </c>
      <c r="F21" s="1">
        <f t="shared" si="1"/>
        <v>50307.417005859978</v>
      </c>
    </row>
    <row r="23" spans="1:6">
      <c r="B23" t="s">
        <v>25</v>
      </c>
      <c r="C23"/>
      <c r="F23" s="1">
        <f>SUM(F2:F22)</f>
        <v>1196496.3158901334</v>
      </c>
    </row>
    <row r="24" spans="1:6" ht="15.75" thickBot="1">
      <c r="B24" t="s">
        <v>26</v>
      </c>
      <c r="C24"/>
      <c r="F24" s="1">
        <f>costs!G23</f>
        <v>611200.6804077141</v>
      </c>
    </row>
    <row r="25" spans="1:6" ht="15.75" thickBot="1">
      <c r="B25" s="18" t="s">
        <v>6</v>
      </c>
      <c r="C25" s="19"/>
      <c r="D25" s="19"/>
      <c r="E25" s="19"/>
      <c r="F25" s="35">
        <f>F23/F24</f>
        <v>1.9576161386011313</v>
      </c>
    </row>
  </sheetData>
  <dataValidations count="1">
    <dataValidation type="list" allowBlank="1" showInputMessage="1" showErrorMessage="1" sqref="I1">
      <formula1>"3%,7%"</formula1>
    </dataValidation>
  </dataValidations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zoomScaleNormal="100" workbookViewId="0"/>
  </sheetViews>
  <sheetFormatPr defaultRowHeight="15"/>
  <cols>
    <col min="2" max="2" width="14.7109375" customWidth="1"/>
    <col min="3" max="6" width="14.7109375" style="4" customWidth="1"/>
    <col min="7" max="7" width="16.5703125" style="4" bestFit="1" customWidth="1"/>
    <col min="8" max="8" width="17.7109375" style="4" customWidth="1"/>
    <col min="9" max="9" width="2.7109375" style="4" customWidth="1"/>
    <col min="10" max="12" width="10.7109375" style="2" customWidth="1"/>
    <col min="13" max="13" width="2.7109375" style="2" customWidth="1"/>
    <col min="14" max="14" width="12.7109375" bestFit="1" customWidth="1"/>
  </cols>
  <sheetData>
    <row r="1" spans="1:15" s="20" customFormat="1" ht="120">
      <c r="B1" s="21" t="s">
        <v>28</v>
      </c>
      <c r="C1" s="21" t="s">
        <v>29</v>
      </c>
      <c r="D1" s="21" t="s">
        <v>31</v>
      </c>
      <c r="E1" s="21" t="s">
        <v>35</v>
      </c>
      <c r="F1" s="21" t="s">
        <v>39</v>
      </c>
      <c r="G1" s="21" t="s">
        <v>30</v>
      </c>
      <c r="H1" s="21" t="s">
        <v>38</v>
      </c>
      <c r="I1" s="21"/>
      <c r="J1" s="21" t="s">
        <v>32</v>
      </c>
      <c r="K1" s="21" t="s">
        <v>34</v>
      </c>
      <c r="L1" s="21" t="s">
        <v>33</v>
      </c>
      <c r="M1" s="21"/>
      <c r="N1" s="21" t="s">
        <v>0</v>
      </c>
    </row>
    <row r="2" spans="1:15">
      <c r="A2">
        <v>2012</v>
      </c>
      <c r="B2" s="6">
        <v>1.55</v>
      </c>
      <c r="C2" s="31">
        <v>7.0000000000000007E-2</v>
      </c>
      <c r="D2" s="31">
        <f>75%*22.31</f>
        <v>16.732499999999998</v>
      </c>
      <c r="E2" s="32">
        <v>1500</v>
      </c>
      <c r="F2" s="32">
        <v>10</v>
      </c>
      <c r="G2" s="32">
        <f>1000*5</f>
        <v>5000</v>
      </c>
      <c r="H2" s="24">
        <f>($B$2+$C$2)/5280*$E$2*$G$2+$D$2/60*$F$2*$G$2</f>
        <v>16244.886363636364</v>
      </c>
      <c r="I2" s="9"/>
      <c r="J2" s="10">
        <f>45+0.5*180</f>
        <v>135</v>
      </c>
      <c r="K2" s="10">
        <f>(500+1000)*180/5280</f>
        <v>51.136363636363633</v>
      </c>
      <c r="L2" s="3">
        <f>$D$2*$J$2+($B$2+$C$2)*$K$2</f>
        <v>2341.7284090909088</v>
      </c>
      <c r="M2" s="10"/>
      <c r="N2" s="23">
        <f>H2+L2</f>
        <v>18586.614772727273</v>
      </c>
    </row>
    <row r="3" spans="1:15">
      <c r="A3">
        <v>2013</v>
      </c>
      <c r="J3" s="10"/>
      <c r="K3" s="25"/>
      <c r="L3" s="25"/>
      <c r="M3" s="10"/>
      <c r="N3" s="23"/>
      <c r="O3" s="7"/>
    </row>
    <row r="4" spans="1:15">
      <c r="A4">
        <v>2014</v>
      </c>
      <c r="J4" s="10"/>
      <c r="K4" s="25"/>
      <c r="L4" s="25"/>
      <c r="M4" s="10"/>
      <c r="N4" s="23"/>
      <c r="O4" s="7"/>
    </row>
    <row r="5" spans="1:15">
      <c r="A5">
        <v>2015</v>
      </c>
      <c r="J5" s="10"/>
      <c r="K5" s="25"/>
      <c r="L5" s="25"/>
      <c r="M5" s="10"/>
      <c r="N5" s="23"/>
      <c r="O5" s="7"/>
    </row>
    <row r="6" spans="1:15">
      <c r="A6">
        <v>2016</v>
      </c>
      <c r="J6" s="10"/>
      <c r="K6" s="25"/>
      <c r="L6" s="25"/>
      <c r="M6" s="10"/>
      <c r="N6" s="23"/>
      <c r="O6" s="7"/>
    </row>
    <row r="7" spans="1:15">
      <c r="A7">
        <v>2017</v>
      </c>
      <c r="J7" s="10"/>
      <c r="K7" s="25"/>
      <c r="L7" s="25"/>
      <c r="M7" s="10"/>
      <c r="N7" s="23"/>
      <c r="O7" s="7"/>
    </row>
    <row r="8" spans="1:15">
      <c r="A8">
        <v>2018</v>
      </c>
      <c r="J8" s="10"/>
      <c r="K8" s="25"/>
      <c r="L8" s="25"/>
      <c r="M8" s="10"/>
      <c r="N8" s="23"/>
      <c r="O8" s="7"/>
    </row>
    <row r="9" spans="1:15">
      <c r="A9">
        <v>2019</v>
      </c>
      <c r="J9" s="10"/>
      <c r="K9" s="25"/>
      <c r="L9" s="25"/>
      <c r="M9" s="10"/>
      <c r="N9" s="23"/>
      <c r="O9" s="7"/>
    </row>
    <row r="10" spans="1:15">
      <c r="A10">
        <v>2020</v>
      </c>
      <c r="J10" s="10"/>
      <c r="K10" s="25"/>
      <c r="L10" s="25"/>
      <c r="M10" s="10"/>
      <c r="N10" s="23"/>
      <c r="O10" s="7"/>
    </row>
    <row r="11" spans="1:15">
      <c r="A11">
        <v>2021</v>
      </c>
      <c r="J11" s="10"/>
      <c r="K11" s="25"/>
      <c r="L11" s="25"/>
      <c r="M11" s="10"/>
      <c r="N11" s="23"/>
      <c r="O11" s="7"/>
    </row>
    <row r="12" spans="1:15">
      <c r="A12">
        <v>2022</v>
      </c>
      <c r="J12" s="10"/>
      <c r="K12" s="25"/>
      <c r="L12" s="25"/>
      <c r="M12" s="10"/>
      <c r="N12" s="23"/>
      <c r="O12" s="7"/>
    </row>
    <row r="13" spans="1:15">
      <c r="A13">
        <v>2023</v>
      </c>
      <c r="J13" s="10"/>
      <c r="K13" s="25"/>
      <c r="L13" s="25"/>
      <c r="M13" s="10"/>
      <c r="N13" s="23"/>
      <c r="O13" s="7"/>
    </row>
    <row r="14" spans="1:15">
      <c r="A14">
        <v>2024</v>
      </c>
      <c r="J14" s="10"/>
      <c r="K14" s="25"/>
      <c r="L14" s="25"/>
      <c r="M14" s="10"/>
      <c r="N14" s="23"/>
      <c r="O14" s="7"/>
    </row>
    <row r="15" spans="1:15">
      <c r="A15">
        <v>2025</v>
      </c>
      <c r="J15" s="10"/>
      <c r="K15" s="25"/>
      <c r="L15" s="25"/>
      <c r="M15" s="10"/>
      <c r="N15" s="23"/>
      <c r="O15" s="7"/>
    </row>
    <row r="16" spans="1:15">
      <c r="A16">
        <v>2026</v>
      </c>
      <c r="J16" s="10"/>
      <c r="K16" s="25"/>
      <c r="L16" s="25"/>
      <c r="M16" s="10"/>
      <c r="N16" s="23"/>
      <c r="O16" s="7"/>
    </row>
    <row r="17" spans="1:15">
      <c r="A17">
        <v>2027</v>
      </c>
      <c r="J17" s="10"/>
      <c r="K17" s="25"/>
      <c r="L17" s="25"/>
      <c r="M17" s="10"/>
      <c r="N17" s="23"/>
      <c r="O17" s="7"/>
    </row>
    <row r="18" spans="1:15">
      <c r="A18">
        <v>2028</v>
      </c>
      <c r="J18" s="10"/>
      <c r="K18" s="25"/>
      <c r="L18" s="25"/>
      <c r="M18" s="10"/>
      <c r="N18" s="23"/>
      <c r="O18" s="7"/>
    </row>
    <row r="19" spans="1:15">
      <c r="A19">
        <v>2029</v>
      </c>
      <c r="J19" s="10"/>
      <c r="K19" s="25"/>
      <c r="L19" s="25"/>
      <c r="M19" s="10"/>
      <c r="N19" s="23"/>
      <c r="O19" s="7"/>
    </row>
    <row r="20" spans="1:15">
      <c r="A20">
        <v>2030</v>
      </c>
      <c r="J20" s="10"/>
      <c r="K20" s="25"/>
      <c r="L20" s="25"/>
      <c r="M20" s="10"/>
      <c r="N20" s="23"/>
      <c r="O20" s="7"/>
    </row>
    <row r="21" spans="1:15">
      <c r="A21">
        <v>2031</v>
      </c>
      <c r="J21" s="10"/>
      <c r="K21" s="25"/>
      <c r="L21" s="25"/>
      <c r="M21" s="10"/>
      <c r="N21" s="23"/>
      <c r="O21" s="7"/>
    </row>
  </sheetData>
  <pageMargins left="0.7" right="0.7" top="0.75" bottom="0.75" header="0.3" footer="0.3"/>
  <pageSetup scale="33" fitToWidth="2" orientation="landscape" r:id="rId1"/>
  <headerFooter>
    <oddFooter>&amp;L&amp;A&amp;CPage &amp;P of &amp;N&amp;R&amp;D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D21"/>
  <sheetViews>
    <sheetView workbookViewId="0"/>
  </sheetViews>
  <sheetFormatPr defaultRowHeight="15"/>
  <cols>
    <col min="2" max="2" width="10.7109375" customWidth="1"/>
    <col min="4" max="4" width="11.7109375" customWidth="1"/>
  </cols>
  <sheetData>
    <row r="1" spans="1:4" ht="150">
      <c r="B1" s="21" t="s">
        <v>42</v>
      </c>
      <c r="C1" s="21" t="s">
        <v>43</v>
      </c>
      <c r="D1" s="21" t="s">
        <v>44</v>
      </c>
    </row>
    <row r="2" spans="1:4">
      <c r="A2">
        <v>2012</v>
      </c>
      <c r="B2">
        <v>7.5</v>
      </c>
      <c r="C2" s="1">
        <v>7500</v>
      </c>
      <c r="D2" s="1">
        <f>B2*$C$2</f>
        <v>56250</v>
      </c>
    </row>
    <row r="3" spans="1:4">
      <c r="A3">
        <v>2013</v>
      </c>
      <c r="B3">
        <v>7.5</v>
      </c>
      <c r="D3" s="1">
        <f t="shared" ref="D3:D21" si="0">B3*$C$2</f>
        <v>56250</v>
      </c>
    </row>
    <row r="4" spans="1:4">
      <c r="A4">
        <v>2014</v>
      </c>
      <c r="B4">
        <v>7.5</v>
      </c>
      <c r="D4" s="1">
        <f t="shared" si="0"/>
        <v>56250</v>
      </c>
    </row>
    <row r="5" spans="1:4">
      <c r="A5">
        <v>2015</v>
      </c>
      <c r="B5">
        <v>7.5</v>
      </c>
      <c r="D5" s="1">
        <f t="shared" si="0"/>
        <v>56250</v>
      </c>
    </row>
    <row r="6" spans="1:4">
      <c r="A6">
        <v>2016</v>
      </c>
      <c r="B6">
        <v>7.5</v>
      </c>
      <c r="D6" s="1">
        <f t="shared" si="0"/>
        <v>56250</v>
      </c>
    </row>
    <row r="7" spans="1:4">
      <c r="A7">
        <v>2017</v>
      </c>
      <c r="B7">
        <v>7.5</v>
      </c>
      <c r="D7" s="1">
        <f t="shared" si="0"/>
        <v>56250</v>
      </c>
    </row>
    <row r="8" spans="1:4">
      <c r="A8">
        <v>2018</v>
      </c>
      <c r="B8">
        <v>7.5</v>
      </c>
      <c r="D8" s="1">
        <f t="shared" si="0"/>
        <v>56250</v>
      </c>
    </row>
    <row r="9" spans="1:4">
      <c r="A9">
        <v>2019</v>
      </c>
      <c r="B9">
        <v>7.5</v>
      </c>
      <c r="D9" s="1">
        <f t="shared" si="0"/>
        <v>56250</v>
      </c>
    </row>
    <row r="10" spans="1:4">
      <c r="A10">
        <v>2020</v>
      </c>
      <c r="B10">
        <v>7.5</v>
      </c>
      <c r="D10" s="1">
        <f t="shared" si="0"/>
        <v>56250</v>
      </c>
    </row>
    <row r="11" spans="1:4">
      <c r="A11">
        <v>2021</v>
      </c>
      <c r="B11">
        <v>7.5</v>
      </c>
      <c r="D11" s="1">
        <f t="shared" si="0"/>
        <v>56250</v>
      </c>
    </row>
    <row r="12" spans="1:4">
      <c r="A12">
        <v>2022</v>
      </c>
      <c r="B12">
        <v>10</v>
      </c>
      <c r="D12" s="1">
        <f t="shared" si="0"/>
        <v>75000</v>
      </c>
    </row>
    <row r="13" spans="1:4">
      <c r="A13">
        <v>2023</v>
      </c>
      <c r="B13">
        <v>10</v>
      </c>
      <c r="D13" s="1">
        <f t="shared" si="0"/>
        <v>75000</v>
      </c>
    </row>
    <row r="14" spans="1:4">
      <c r="A14">
        <v>2024</v>
      </c>
      <c r="B14">
        <v>10</v>
      </c>
      <c r="D14" s="1">
        <f t="shared" si="0"/>
        <v>75000</v>
      </c>
    </row>
    <row r="15" spans="1:4">
      <c r="A15">
        <v>2025</v>
      </c>
      <c r="B15">
        <v>10</v>
      </c>
      <c r="D15" s="1">
        <f t="shared" si="0"/>
        <v>75000</v>
      </c>
    </row>
    <row r="16" spans="1:4">
      <c r="A16">
        <v>2026</v>
      </c>
      <c r="B16">
        <v>10</v>
      </c>
      <c r="D16" s="1">
        <f t="shared" si="0"/>
        <v>75000</v>
      </c>
    </row>
    <row r="17" spans="1:4">
      <c r="A17">
        <v>2027</v>
      </c>
      <c r="B17">
        <v>10</v>
      </c>
      <c r="D17" s="1">
        <f t="shared" si="0"/>
        <v>75000</v>
      </c>
    </row>
    <row r="18" spans="1:4">
      <c r="A18">
        <v>2028</v>
      </c>
      <c r="B18">
        <v>10</v>
      </c>
      <c r="D18" s="1">
        <f t="shared" si="0"/>
        <v>75000</v>
      </c>
    </row>
    <row r="19" spans="1:4">
      <c r="A19">
        <v>2029</v>
      </c>
      <c r="B19">
        <v>10</v>
      </c>
      <c r="D19" s="1">
        <f t="shared" si="0"/>
        <v>75000</v>
      </c>
    </row>
    <row r="20" spans="1:4">
      <c r="A20">
        <v>2030</v>
      </c>
      <c r="B20">
        <v>10</v>
      </c>
      <c r="D20" s="1">
        <f t="shared" si="0"/>
        <v>75000</v>
      </c>
    </row>
    <row r="21" spans="1:4">
      <c r="A21">
        <v>2031</v>
      </c>
      <c r="B21">
        <v>10</v>
      </c>
      <c r="D21" s="1">
        <f t="shared" si="0"/>
        <v>75000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check</vt:lpstr>
      <vt:lpstr>notes</vt:lpstr>
      <vt:lpstr>costs</vt:lpstr>
      <vt:lpstr>benefits &amp; sum</vt:lpstr>
      <vt:lpstr>travelDetail</vt:lpstr>
      <vt:lpstr>waterDetail</vt:lpstr>
    </vt:vector>
  </TitlesOfParts>
  <Company>MNDOT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wils1joh</dc:creator>
  <cp:lastModifiedBy>wils1joh</cp:lastModifiedBy>
  <cp:lastPrinted>2010-07-30T20:01:25Z</cp:lastPrinted>
  <dcterms:created xsi:type="dcterms:W3CDTF">2010-07-26T16:29:06Z</dcterms:created>
  <dcterms:modified xsi:type="dcterms:W3CDTF">2010-08-17T20:08:40Z</dcterms:modified>
</cp:coreProperties>
</file>